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C:\Users\Philippe\Documents\Mes documents\Papa\Atelier mécanique décembre 2015\"/>
    </mc:Choice>
  </mc:AlternateContent>
  <bookViews>
    <workbookView xWindow="0" yWindow="0" windowWidth="21570" windowHeight="10215" tabRatio="500" activeTab="1"/>
  </bookViews>
  <sheets>
    <sheet name="1493" sheetId="13" r:id="rId1"/>
    <sheet name="1296" sheetId="15" r:id="rId2"/>
    <sheet name="bore measurements" sheetId="14" r:id="rId3"/>
  </sheets>
  <definedNames>
    <definedName name="anscount" hidden="1">1</definedName>
    <definedName name="sencount" hidden="1">2</definedName>
    <definedName name="solver_adj" localSheetId="1" hidden="1">'1296'!$B$45</definedName>
    <definedName name="solver_adj" localSheetId="0" hidden="1">'1493'!$B$45</definedName>
    <definedName name="solver_cvg" localSheetId="1" hidden="1">0.0001</definedName>
    <definedName name="solver_cvg" localSheetId="0" hidden="1">0.0001</definedName>
    <definedName name="solver_drv" localSheetId="1" hidden="1">1</definedName>
    <definedName name="solver_drv" localSheetId="0" hidden="1">1</definedName>
    <definedName name="solver_est" localSheetId="1" hidden="1">2</definedName>
    <definedName name="solver_est" localSheetId="0" hidden="1">2</definedName>
    <definedName name="solver_itr" localSheetId="1" hidden="1">100</definedName>
    <definedName name="solver_itr" localSheetId="0" hidden="1">100</definedName>
    <definedName name="solver_lin" localSheetId="1" hidden="1">2</definedName>
    <definedName name="solver_lin" localSheetId="0" hidden="1">2</definedName>
    <definedName name="solver_neg" localSheetId="1" hidden="1">2</definedName>
    <definedName name="solver_neg" localSheetId="0" hidden="1">2</definedName>
    <definedName name="solver_num" localSheetId="1" hidden="1">0</definedName>
    <definedName name="solver_num" localSheetId="0" hidden="1">0</definedName>
    <definedName name="solver_nwt" localSheetId="1" hidden="1">1</definedName>
    <definedName name="solver_nwt" localSheetId="0" hidden="1">1</definedName>
    <definedName name="solver_opt" localSheetId="1" hidden="1">'1296'!$B$43</definedName>
    <definedName name="solver_opt" localSheetId="0" hidden="1">'1493'!$B$43</definedName>
    <definedName name="solver_pre" localSheetId="1" hidden="1">0.000001</definedName>
    <definedName name="solver_pre" localSheetId="0" hidden="1">0.000001</definedName>
    <definedName name="solver_scl" localSheetId="1" hidden="1">2</definedName>
    <definedName name="solver_scl" localSheetId="0" hidden="1">2</definedName>
    <definedName name="solver_sho" localSheetId="1" hidden="1">2</definedName>
    <definedName name="solver_sho" localSheetId="0" hidden="1">2</definedName>
    <definedName name="solver_tim" localSheetId="1" hidden="1">100</definedName>
    <definedName name="solver_tim" localSheetId="0" hidden="1">100</definedName>
    <definedName name="solver_tol" localSheetId="1" hidden="1">0.05</definedName>
    <definedName name="solver_tol" localSheetId="0" hidden="1">0.05</definedName>
    <definedName name="solver_typ" localSheetId="1" hidden="1">3</definedName>
    <definedName name="solver_typ" localSheetId="0" hidden="1">3</definedName>
    <definedName name="solver_val" localSheetId="1" hidden="1">0</definedName>
    <definedName name="solver_val" localSheetId="0" hidden="1">0</definedName>
  </definedNames>
  <calcPr calcId="152511"/>
</workbook>
</file>

<file path=xl/calcChain.xml><?xml version="1.0" encoding="utf-8"?>
<calcChain xmlns="http://schemas.openxmlformats.org/spreadsheetml/2006/main">
  <c r="B18" i="13" l="1"/>
  <c r="B19" i="13" s="1"/>
  <c r="B22" i="13"/>
  <c r="B31" i="13"/>
  <c r="B32" i="13" s="1"/>
  <c r="B34" i="13"/>
  <c r="U61" i="13"/>
  <c r="B18" i="15"/>
  <c r="B20" i="15" s="1"/>
  <c r="B22" i="15"/>
  <c r="B31" i="15"/>
  <c r="B32" i="15" s="1"/>
  <c r="B34" i="15"/>
  <c r="U61" i="15"/>
  <c r="B3" i="14"/>
  <c r="B4" i="14"/>
  <c r="B5" i="14"/>
  <c r="B6" i="14"/>
  <c r="B7" i="14"/>
  <c r="B8" i="14"/>
  <c r="B21" i="15" l="1"/>
  <c r="B33" i="15"/>
  <c r="B19" i="15"/>
  <c r="D19" i="15" s="1"/>
  <c r="B35" i="13"/>
  <c r="D32" i="13"/>
  <c r="B35" i="15"/>
  <c r="D32" i="15"/>
  <c r="D19" i="13"/>
  <c r="B25" i="13"/>
  <c r="B21" i="13"/>
  <c r="B25" i="15"/>
  <c r="B26" i="15" s="1"/>
  <c r="B30" i="15" s="1"/>
  <c r="B20" i="13"/>
  <c r="B33" i="13"/>
  <c r="B36" i="15" l="1"/>
  <c r="B37" i="15" s="1"/>
  <c r="B39" i="15" s="1"/>
  <c r="B40" i="15" s="1"/>
  <c r="B26" i="13"/>
  <c r="B30" i="13" s="1"/>
  <c r="B36" i="13"/>
  <c r="D30" i="13" l="1"/>
  <c r="B37" i="13"/>
  <c r="B39" i="13" s="1"/>
  <c r="B40" i="13" s="1"/>
</calcChain>
</file>

<file path=xl/comments1.xml><?xml version="1.0" encoding="utf-8"?>
<comments xmlns="http://schemas.openxmlformats.org/spreadsheetml/2006/main">
  <authors>
    <author>Geithner Paul</author>
  </authors>
  <commentList>
    <comment ref="B38" authorId="0" shapeId="0">
      <text>
        <r>
          <rPr>
            <sz val="9"/>
            <color indexed="81"/>
            <rFont val="Verdana"/>
          </rPr>
          <t>area of Vhead w/out milling = 35 sq cm (measured); 1st mm of milling will remove ~3.5cc from Vhead, and each successive mm of miling will remove ~0.05cc less than the previous one (e.g., 2nd mm milled will remove 3.45cc, 3rd mm will remove 3.40cc, and so on)</t>
        </r>
      </text>
    </comment>
  </commentList>
</comments>
</file>

<file path=xl/comments2.xml><?xml version="1.0" encoding="utf-8"?>
<comments xmlns="http://schemas.openxmlformats.org/spreadsheetml/2006/main">
  <authors>
    <author>Geithner Paul</author>
  </authors>
  <commentList>
    <comment ref="B38" authorId="0" shapeId="0">
      <text>
        <r>
          <rPr>
            <sz val="9"/>
            <color indexed="81"/>
            <rFont val="Verdana"/>
          </rPr>
          <t>area of Vhead w/out milling = 35 sq cm (measured); 1st mm of milling will remove ~3.5cc from Vhead, and each successive mm of miling will remove ~0.05cc less than the previous one (e.g., 2nd mm milled will remove 3.45cc, 3rd mm will remove 3.40cc, and so on)</t>
        </r>
      </text>
    </comment>
  </commentList>
</comments>
</file>

<file path=xl/sharedStrings.xml><?xml version="1.0" encoding="utf-8"?>
<sst xmlns="http://schemas.openxmlformats.org/spreadsheetml/2006/main" count="160" uniqueCount="63">
  <si>
    <t>type "dish" for dished pistons, "flat" for flat-top pistons</t>
  </si>
  <si>
    <t>type "std" or 0.010 or 0.020 or 0.030 or 0.040 or 0.050 or 0.060 depending on starting piston size</t>
  </si>
  <si>
    <t>type "dish" if dished pistons, "flat" if flat-top pistons</t>
  </si>
  <si>
    <t>type "std" or 0.010 or 0.020 or 0.030 or 0.040 or 0.050 or 0.060 depending on new piston size</t>
  </si>
  <si>
    <t>nominal</t>
  </si>
  <si>
    <t>if a measured value entered above, then measured value is used--otherwise nominal value used</t>
  </si>
  <si>
    <t>std</t>
  </si>
  <si>
    <t>fill-in starting value (e.g., 7.5 for stock dished-piston North America 1500, 9 for stock flat-top piston UK 1500)</t>
  </si>
  <si>
    <t>Vcc old</t>
  </si>
  <si>
    <t>new bore</t>
  </si>
  <si>
    <t>(useful if substituting a non-stock or already-shaved head)</t>
  </si>
  <si>
    <t>inches compressed head gasket thickness</t>
  </si>
  <si>
    <t>dish</t>
  </si>
  <si>
    <t>flat</t>
  </si>
  <si>
    <t>Vdeck new</t>
  </si>
  <si>
    <t>inches of piston top to block deck clearance; change this value from nominal 0.020 if block has been decked or non-Spitfire pistons used</t>
  </si>
  <si>
    <t>starting 1300 values:</t>
  </si>
  <si>
    <t>fill-in starting value (e.g., 9 for stock Spitfire mk3 using 515973 head)</t>
  </si>
  <si>
    <t>input measured value of head volume here, if available--otherwise, leave blank and nominal value used</t>
  </si>
  <si>
    <t>CR calculations</t>
  </si>
  <si>
    <t>Vcc = total combustion chamber volume</t>
  </si>
  <si>
    <t xml:space="preserve">     = Vhead+Vgasket+Vdeck+Vrecess</t>
  </si>
  <si>
    <t>Vhead=volume in head</t>
  </si>
  <si>
    <t>Vgasket=volume due to head gasket thickness</t>
  </si>
  <si>
    <t>Vdeck=volume due to difference between piston TDC and block deck</t>
  </si>
  <si>
    <t>Vcyl=stroke*pi*(bore/2)^2</t>
  </si>
  <si>
    <t>CR = (Vcyl+Vcc)/Vcc</t>
  </si>
  <si>
    <t>stroke</t>
  </si>
  <si>
    <t>bore</t>
  </si>
  <si>
    <t>Vgasket</t>
  </si>
  <si>
    <t>cc</t>
  </si>
  <si>
    <t>Vdeck</t>
  </si>
  <si>
    <t>mm</t>
  </si>
  <si>
    <t>Vrecess</t>
  </si>
  <si>
    <t>Vcyl</t>
  </si>
  <si>
    <t>CR</t>
  </si>
  <si>
    <t>therefore:</t>
  </si>
  <si>
    <t>inches</t>
  </si>
  <si>
    <t>Vcyl=Vcc*(CR-1)</t>
  </si>
  <si>
    <t>Vcc=Vcyl/(CR-1)</t>
  </si>
  <si>
    <t>target CR</t>
  </si>
  <si>
    <t>Vcc new</t>
  </si>
  <si>
    <t>Vcyl new</t>
  </si>
  <si>
    <t>Vhead new</t>
  </si>
  <si>
    <t>cc to remove</t>
  </si>
  <si>
    <t>cc per mm</t>
  </si>
  <si>
    <t>Vhead old</t>
  </si>
  <si>
    <t>to mill off</t>
  </si>
  <si>
    <t>input values for cells in</t>
  </si>
  <si>
    <t>BLUE</t>
  </si>
  <si>
    <t>cc's removed per mm of milling (approx.)</t>
  </si>
  <si>
    <t>Vrecess=volume of recess in top of piston (a negative value for crowned pistons)</t>
  </si>
  <si>
    <t>where :</t>
  </si>
  <si>
    <t>where:</t>
  </si>
  <si>
    <t>cc engine displacement</t>
  </si>
  <si>
    <t>others are fixed or calculated</t>
  </si>
  <si>
    <t>:1</t>
  </si>
  <si>
    <t>solution for milling head to achieve new CR:</t>
  </si>
  <si>
    <t>starting 1500 values:</t>
  </si>
  <si>
    <t>standard</t>
  </si>
  <si>
    <t>bore (over)</t>
  </si>
  <si>
    <t>bore (mm)</t>
  </si>
  <si>
    <t>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</si>
</sst>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7" x14ac:knownFonts="1">
    <font>
      <sz val="10"/>
      <name val="Verdana"/>
    </font>
    <font>
      <b/>
      <sz val="10"/>
      <name val="Verdana"/>
    </font>
    <font>
      <i/>
      <sz val="10"/>
      <name val="Verdana"/>
    </font>
    <font>
      <sz val="10"/>
      <name val="Verdana"/>
    </font>
    <font>
      <sz val="8"/>
      <name val="Verdana"/>
    </font>
    <font>
      <sz val="9"/>
      <color indexed="81"/>
      <name val="Verdana"/>
    </font>
    <font>
      <b/>
      <u/>
      <sz val="10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/>
  </cellStyleXfs>
  <cellXfs count="28">
    <xf numFmtId="0" fontId="0" fillId="0" borderId="0" xfId="0"/>
    <xf numFmtId="165" fontId="0" fillId="0" borderId="0" xfId="0" applyNumberFormat="1"/>
    <xf numFmtId="165" fontId="0" fillId="2" borderId="0" xfId="0" applyNumberFormat="1" applyFill="1" applyProtection="1">
      <protection locked="0"/>
    </xf>
    <xf numFmtId="164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0" xfId="0" applyFont="1" applyProtection="1"/>
    <xf numFmtId="0" fontId="0" fillId="0" borderId="0" xfId="0" applyProtection="1"/>
    <xf numFmtId="0" fontId="0" fillId="0" borderId="0" xfId="0" applyFill="1" applyProtection="1"/>
    <xf numFmtId="0" fontId="0" fillId="3" borderId="0" xfId="0" applyFill="1" applyProtection="1"/>
    <xf numFmtId="0" fontId="3" fillId="3" borderId="0" xfId="0" applyFont="1" applyFill="1" applyAlignment="1" applyProtection="1">
      <alignment horizontal="right"/>
    </xf>
    <xf numFmtId="0" fontId="0" fillId="2" borderId="0" xfId="0" applyFill="1" applyProtection="1"/>
    <xf numFmtId="0" fontId="6" fillId="0" borderId="0" xfId="0" applyFont="1" applyProtection="1"/>
    <xf numFmtId="164" fontId="0" fillId="0" borderId="0" xfId="0" applyNumberFormat="1" applyProtection="1"/>
    <xf numFmtId="1" fontId="0" fillId="0" borderId="0" xfId="0" applyNumberFormat="1" applyProtection="1"/>
    <xf numFmtId="0" fontId="2" fillId="0" borderId="0" xfId="0" applyFont="1" applyProtection="1"/>
    <xf numFmtId="164" fontId="0" fillId="0" borderId="0" xfId="0" applyNumberFormat="1" applyFill="1" applyProtection="1"/>
    <xf numFmtId="2" fontId="0" fillId="0" borderId="0" xfId="0" applyNumberFormat="1" applyFill="1" applyProtection="1"/>
    <xf numFmtId="165" fontId="0" fillId="0" borderId="0" xfId="0" applyNumberFormat="1" applyProtection="1"/>
    <xf numFmtId="164" fontId="1" fillId="0" borderId="0" xfId="0" applyNumberFormat="1" applyFont="1" applyFill="1" applyProtection="1"/>
    <xf numFmtId="0" fontId="1" fillId="0" borderId="0" xfId="0" applyFont="1" applyFill="1" applyProtection="1"/>
    <xf numFmtId="2" fontId="0" fillId="0" borderId="0" xfId="0" applyNumberFormat="1" applyProtection="1"/>
    <xf numFmtId="165" fontId="0" fillId="0" borderId="0" xfId="0" applyNumberFormat="1" applyFill="1" applyProtection="1"/>
    <xf numFmtId="165" fontId="1" fillId="0" borderId="2" xfId="0" applyNumberFormat="1" applyFont="1" applyFill="1" applyBorder="1" applyProtection="1"/>
    <xf numFmtId="0" fontId="1" fillId="0" borderId="3" xfId="0" applyFont="1" applyFill="1" applyBorder="1" applyProtection="1"/>
    <xf numFmtId="165" fontId="0" fillId="0" borderId="0" xfId="0" applyNumberFormat="1" applyAlignment="1">
      <alignment horizontal="right"/>
    </xf>
    <xf numFmtId="0" fontId="0" fillId="0" borderId="0" xfId="0" applyFill="1" applyBorder="1" applyProtection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opLeftCell="A10" workbookViewId="0">
      <selection activeCell="D18" sqref="D18"/>
    </sheetView>
  </sheetViews>
  <sheetFormatPr baseColWidth="10" defaultColWidth="10.75" defaultRowHeight="12.75" x14ac:dyDescent="0.2"/>
  <cols>
    <col min="1" max="1" width="13.875" style="7" customWidth="1"/>
    <col min="2" max="6" width="10.75" style="7"/>
    <col min="7" max="8" width="10.75" style="8"/>
    <col min="9" max="16384" width="10.75" style="7"/>
  </cols>
  <sheetData>
    <row r="1" spans="1:6" x14ac:dyDescent="0.2">
      <c r="A1" s="6" t="s">
        <v>19</v>
      </c>
    </row>
    <row r="2" spans="1:6" x14ac:dyDescent="0.2">
      <c r="A2" s="9"/>
      <c r="B2" s="10" t="s">
        <v>48</v>
      </c>
      <c r="C2" s="11" t="s">
        <v>49</v>
      </c>
      <c r="D2" s="9" t="s">
        <v>55</v>
      </c>
      <c r="E2" s="9"/>
      <c r="F2" s="9"/>
    </row>
    <row r="4" spans="1:6" x14ac:dyDescent="0.2">
      <c r="A4" s="7" t="s">
        <v>26</v>
      </c>
      <c r="C4" s="7" t="s">
        <v>38</v>
      </c>
      <c r="E4" s="7" t="s">
        <v>39</v>
      </c>
    </row>
    <row r="5" spans="1:6" x14ac:dyDescent="0.2">
      <c r="A5" s="7" t="s">
        <v>52</v>
      </c>
    </row>
    <row r="6" spans="1:6" x14ac:dyDescent="0.2">
      <c r="A6" s="7" t="s">
        <v>20</v>
      </c>
    </row>
    <row r="7" spans="1:6" x14ac:dyDescent="0.2">
      <c r="A7" s="7" t="s">
        <v>21</v>
      </c>
    </row>
    <row r="8" spans="1:6" x14ac:dyDescent="0.2">
      <c r="A8" s="7" t="s">
        <v>53</v>
      </c>
    </row>
    <row r="9" spans="1:6" x14ac:dyDescent="0.2">
      <c r="A9" s="7" t="s">
        <v>22</v>
      </c>
    </row>
    <row r="10" spans="1:6" x14ac:dyDescent="0.2">
      <c r="A10" s="7" t="s">
        <v>23</v>
      </c>
    </row>
    <row r="11" spans="1:6" x14ac:dyDescent="0.2">
      <c r="A11" s="7" t="s">
        <v>24</v>
      </c>
    </row>
    <row r="12" spans="1:6" x14ac:dyDescent="0.2">
      <c r="A12" s="7" t="s">
        <v>51</v>
      </c>
    </row>
    <row r="14" spans="1:6" x14ac:dyDescent="0.2">
      <c r="A14" s="7" t="s">
        <v>25</v>
      </c>
    </row>
    <row r="16" spans="1:6" x14ac:dyDescent="0.2">
      <c r="A16" s="12" t="s">
        <v>58</v>
      </c>
    </row>
    <row r="17" spans="1:8" x14ac:dyDescent="0.2">
      <c r="A17" s="7" t="s">
        <v>27</v>
      </c>
      <c r="B17" s="13">
        <v>87.5</v>
      </c>
      <c r="C17" s="7" t="s">
        <v>32</v>
      </c>
    </row>
    <row r="18" spans="1:8" x14ac:dyDescent="0.2">
      <c r="A18" s="7" t="s">
        <v>28</v>
      </c>
      <c r="B18" s="13">
        <f>IF(D18="std", 'bore measurements'!B2,IF(D18=0.01,'bore measurements'!B3,IF(D18=0.02,'bore measurements'!B4,IF(D18=0.03,'bore measurements'!B5,IF(D18=0.04,'bore measurements'!B6,IF(D18=0.05,'bore measurements'!B7,IF(D18=0.06,'bore measurements'!B8,"specify!")))))))</f>
        <v>73.7</v>
      </c>
      <c r="C18" s="7" t="s">
        <v>32</v>
      </c>
      <c r="D18" s="2" t="s">
        <v>6</v>
      </c>
      <c r="E18" s="7" t="s">
        <v>1</v>
      </c>
    </row>
    <row r="19" spans="1:8" x14ac:dyDescent="0.2">
      <c r="A19" s="7" t="s">
        <v>34</v>
      </c>
      <c r="B19" s="13">
        <f>(B17/10)*PI()*(B18/2/10)^2</f>
        <v>373.278443137625</v>
      </c>
      <c r="C19" s="7" t="s">
        <v>30</v>
      </c>
      <c r="D19" s="14">
        <f>B19*4</f>
        <v>1493.1137725505</v>
      </c>
      <c r="E19" s="7" t="s">
        <v>54</v>
      </c>
    </row>
    <row r="20" spans="1:8" x14ac:dyDescent="0.2">
      <c r="A20" s="7" t="s">
        <v>29</v>
      </c>
      <c r="B20" s="13">
        <f>(D20*2.54)*PI()*(((B18)/10/2)^2)</f>
        <v>3.6841515827846059</v>
      </c>
      <c r="C20" s="7" t="s">
        <v>30</v>
      </c>
      <c r="D20" s="8">
        <v>3.4000000000000002E-2</v>
      </c>
      <c r="E20" s="7" t="s">
        <v>11</v>
      </c>
    </row>
    <row r="21" spans="1:8" x14ac:dyDescent="0.2">
      <c r="A21" s="7" t="s">
        <v>31</v>
      </c>
      <c r="B21" s="13">
        <f>(D21/0.03937/10)*PI()*(B$18/10/2)^2</f>
        <v>2.1671523241779456</v>
      </c>
      <c r="C21" s="7" t="s">
        <v>30</v>
      </c>
      <c r="D21" s="2">
        <v>0.02</v>
      </c>
      <c r="E21" s="7" t="s">
        <v>15</v>
      </c>
    </row>
    <row r="22" spans="1:8" x14ac:dyDescent="0.2">
      <c r="A22" s="7" t="s">
        <v>33</v>
      </c>
      <c r="B22" s="13">
        <f>IF(D22="dish", 6.7,IF(D22="flat",0,"specify!"))</f>
        <v>6.7</v>
      </c>
      <c r="C22" s="7" t="s">
        <v>30</v>
      </c>
      <c r="D22" s="3" t="s">
        <v>12</v>
      </c>
      <c r="E22" s="7" t="s">
        <v>2</v>
      </c>
    </row>
    <row r="23" spans="1:8" x14ac:dyDescent="0.2">
      <c r="A23" s="7" t="s">
        <v>35</v>
      </c>
      <c r="B23" s="4">
        <v>7.5</v>
      </c>
      <c r="C23" s="7" t="s">
        <v>56</v>
      </c>
      <c r="D23" s="7" t="s">
        <v>7</v>
      </c>
    </row>
    <row r="24" spans="1:8" x14ac:dyDescent="0.2">
      <c r="A24" s="15" t="s">
        <v>36</v>
      </c>
    </row>
    <row r="25" spans="1:8" x14ac:dyDescent="0.2">
      <c r="A25" s="7" t="s">
        <v>8</v>
      </c>
      <c r="B25" s="13">
        <f>B19/(B23-1)</f>
        <v>57.427452790403848</v>
      </c>
      <c r="C25" s="7" t="s">
        <v>30</v>
      </c>
    </row>
    <row r="26" spans="1:8" x14ac:dyDescent="0.2">
      <c r="A26" s="7" t="s">
        <v>46</v>
      </c>
      <c r="B26" s="13">
        <f>B25-(B20+B21+B22)</f>
        <v>44.876148883441296</v>
      </c>
      <c r="C26" s="7" t="s">
        <v>30</v>
      </c>
      <c r="D26" s="3"/>
      <c r="E26" s="7" t="s">
        <v>18</v>
      </c>
      <c r="H26" s="16"/>
    </row>
    <row r="27" spans="1:8" x14ac:dyDescent="0.2">
      <c r="B27" s="13"/>
      <c r="E27" s="7" t="s">
        <v>10</v>
      </c>
      <c r="H27" s="17"/>
    </row>
    <row r="28" spans="1:8" x14ac:dyDescent="0.2">
      <c r="A28" s="12" t="s">
        <v>57</v>
      </c>
      <c r="B28" s="18"/>
    </row>
    <row r="29" spans="1:8" x14ac:dyDescent="0.2">
      <c r="A29" s="6" t="s">
        <v>40</v>
      </c>
      <c r="B29" s="5">
        <v>9.5</v>
      </c>
    </row>
    <row r="30" spans="1:8" x14ac:dyDescent="0.2">
      <c r="A30" s="7" t="s">
        <v>46</v>
      </c>
      <c r="B30" s="16">
        <f>IF(D26&gt;0, D26,B26)</f>
        <v>44.876148883441296</v>
      </c>
      <c r="C30" s="7" t="s">
        <v>30</v>
      </c>
      <c r="D30" s="7" t="str">
        <f>IF(B30=B26,"nominal","measured")</f>
        <v>nominal</v>
      </c>
      <c r="E30" s="7" t="s">
        <v>5</v>
      </c>
    </row>
    <row r="31" spans="1:8" x14ac:dyDescent="0.2">
      <c r="A31" s="7" t="s">
        <v>9</v>
      </c>
      <c r="B31" s="21">
        <f>IF(D31="std", 'bore measurements'!B2,IF(D31=0.01,'bore measurements'!B3,IF(D31=0.02,'bore measurements'!B4,IF(D31=0.03,'bore measurements'!B5,IF(D31=0.04,'bore measurements'!B6,IF(D31=0.05,'bore measurements'!B7,IF(D31=0.06,'bore measurements'!B8,"specify!")))))))</f>
        <v>73.7</v>
      </c>
      <c r="C31" s="7" t="s">
        <v>32</v>
      </c>
      <c r="D31" s="2" t="s">
        <v>6</v>
      </c>
      <c r="E31" s="7" t="s">
        <v>3</v>
      </c>
    </row>
    <row r="32" spans="1:8" x14ac:dyDescent="0.2">
      <c r="A32" s="7" t="s">
        <v>42</v>
      </c>
      <c r="B32" s="13">
        <f>(B17/10)*PI()*(B31/2/10)^2</f>
        <v>373.278443137625</v>
      </c>
      <c r="C32" s="7" t="s">
        <v>30</v>
      </c>
      <c r="D32" s="14">
        <f>B32*4</f>
        <v>1493.1137725505</v>
      </c>
      <c r="E32" s="7" t="s">
        <v>54</v>
      </c>
    </row>
    <row r="33" spans="1:8" x14ac:dyDescent="0.2">
      <c r="A33" s="26" t="s">
        <v>14</v>
      </c>
      <c r="B33" s="13">
        <f>(D33/0.03937/10)*PI()*(B$18/10/2)^2</f>
        <v>2.1671523241779456</v>
      </c>
      <c r="C33" s="7" t="s">
        <v>30</v>
      </c>
      <c r="D33" s="2">
        <v>0.02</v>
      </c>
      <c r="E33" s="7" t="s">
        <v>15</v>
      </c>
    </row>
    <row r="34" spans="1:8" x14ac:dyDescent="0.2">
      <c r="A34" s="7" t="s">
        <v>33</v>
      </c>
      <c r="B34" s="16">
        <f>IF(D34="dish", 6.7,IF(D34="flat",0,"specify!"))</f>
        <v>0</v>
      </c>
      <c r="C34" s="7" t="s">
        <v>30</v>
      </c>
      <c r="D34" s="4" t="s">
        <v>13</v>
      </c>
      <c r="E34" s="7" t="s">
        <v>0</v>
      </c>
    </row>
    <row r="35" spans="1:8" x14ac:dyDescent="0.2">
      <c r="A35" s="7" t="s">
        <v>41</v>
      </c>
      <c r="B35" s="16">
        <f>B32/(B29-1)</f>
        <v>43.915110957367645</v>
      </c>
      <c r="C35" s="7" t="s">
        <v>30</v>
      </c>
    </row>
    <row r="36" spans="1:8" x14ac:dyDescent="0.2">
      <c r="A36" s="7" t="s">
        <v>43</v>
      </c>
      <c r="B36" s="16">
        <f>B35-B20-B33-B34</f>
        <v>38.063807050405089</v>
      </c>
      <c r="C36" s="7" t="s">
        <v>30</v>
      </c>
    </row>
    <row r="37" spans="1:8" s="6" customFormat="1" x14ac:dyDescent="0.2">
      <c r="A37" s="6" t="s">
        <v>44</v>
      </c>
      <c r="B37" s="19">
        <f>B30-B36</f>
        <v>6.8123418330362071</v>
      </c>
      <c r="C37" s="6" t="s">
        <v>30</v>
      </c>
      <c r="E37" s="7"/>
      <c r="G37" s="20"/>
      <c r="H37" s="20"/>
    </row>
    <row r="38" spans="1:8" hidden="1" x14ac:dyDescent="0.2">
      <c r="A38" s="7" t="s">
        <v>45</v>
      </c>
      <c r="B38" s="16">
        <v>3.5</v>
      </c>
      <c r="C38" s="7" t="s">
        <v>30</v>
      </c>
      <c r="D38" s="7" t="s">
        <v>50</v>
      </c>
    </row>
    <row r="39" spans="1:8" x14ac:dyDescent="0.2">
      <c r="A39" s="7" t="s">
        <v>47</v>
      </c>
      <c r="B39" s="21">
        <f>B37/B38</f>
        <v>1.9463833808674877</v>
      </c>
      <c r="C39" s="7" t="s">
        <v>32</v>
      </c>
    </row>
    <row r="40" spans="1:8" x14ac:dyDescent="0.2">
      <c r="A40" s="6" t="s">
        <v>47</v>
      </c>
      <c r="B40" s="23">
        <f>B39*0.03937</f>
        <v>7.6629113704752991E-2</v>
      </c>
      <c r="C40" s="24" t="s">
        <v>37</v>
      </c>
    </row>
    <row r="41" spans="1:8" x14ac:dyDescent="0.2">
      <c r="B41" s="18"/>
    </row>
    <row r="42" spans="1:8" x14ac:dyDescent="0.2">
      <c r="B42" s="18"/>
    </row>
    <row r="43" spans="1:8" x14ac:dyDescent="0.2">
      <c r="B43" s="22"/>
    </row>
    <row r="44" spans="1:8" x14ac:dyDescent="0.2">
      <c r="B44" s="18"/>
      <c r="D44" s="13"/>
    </row>
    <row r="45" spans="1:8" x14ac:dyDescent="0.2">
      <c r="B45" s="21"/>
    </row>
    <row r="46" spans="1:8" x14ac:dyDescent="0.2">
      <c r="B46" s="18"/>
    </row>
    <row r="47" spans="1:8" x14ac:dyDescent="0.2">
      <c r="B47" s="18"/>
    </row>
    <row r="48" spans="1:8" x14ac:dyDescent="0.2">
      <c r="B48" s="18"/>
    </row>
    <row r="49" spans="2:21" x14ac:dyDescent="0.2">
      <c r="B49" s="18"/>
      <c r="K49" s="13"/>
      <c r="L49" s="13"/>
    </row>
    <row r="50" spans="2:21" x14ac:dyDescent="0.2">
      <c r="J50" s="13"/>
      <c r="K50" s="13"/>
    </row>
    <row r="51" spans="2:21" x14ac:dyDescent="0.2">
      <c r="J51" s="13"/>
      <c r="K51" s="13"/>
    </row>
    <row r="52" spans="2:21" x14ac:dyDescent="0.2">
      <c r="K52" s="13"/>
    </row>
    <row r="61" spans="2:21" x14ac:dyDescent="0.2">
      <c r="B61" s="18"/>
      <c r="C61" s="18"/>
      <c r="D61" s="18"/>
      <c r="E61" s="18"/>
      <c r="F61" s="18"/>
      <c r="U61" s="7">
        <f>2.9425/2</f>
        <v>1.4712499999999999</v>
      </c>
    </row>
    <row r="62" spans="2:21" x14ac:dyDescent="0.2">
      <c r="B62" s="18"/>
      <c r="C62" s="18"/>
      <c r="D62" s="18"/>
      <c r="E62" s="18"/>
      <c r="F62" s="18"/>
    </row>
    <row r="63" spans="2:21" x14ac:dyDescent="0.2">
      <c r="B63" s="18"/>
      <c r="C63" s="18"/>
      <c r="D63" s="18"/>
      <c r="E63" s="18"/>
      <c r="F63" s="18"/>
    </row>
    <row r="64" spans="2:21" x14ac:dyDescent="0.2">
      <c r="B64" s="18"/>
      <c r="C64" s="18"/>
      <c r="D64" s="18"/>
      <c r="E64" s="18"/>
      <c r="F64" s="18"/>
    </row>
    <row r="65" spans="2:6" x14ac:dyDescent="0.2">
      <c r="B65" s="18"/>
      <c r="C65" s="18"/>
      <c r="D65" s="18"/>
      <c r="E65" s="18"/>
      <c r="F65" s="18"/>
    </row>
    <row r="66" spans="2:6" x14ac:dyDescent="0.2">
      <c r="B66" s="18"/>
      <c r="C66" s="18"/>
      <c r="D66" s="18"/>
      <c r="E66" s="18"/>
      <c r="F66" s="18"/>
    </row>
  </sheetData>
  <sheetProtection sheet="1" objects="1" scenarios="1"/>
  <phoneticPr fontId="4"/>
  <pageMargins left="0.78740157499999996" right="0.78740157499999996" top="0.984251969" bottom="0.984251969" header="0.5" footer="0.5"/>
  <pageSetup paperSize="0" scale="42" orientation="landscape" horizontalDpi="4294967292" verticalDpi="4294967292"/>
  <headerFooter alignWithMargins="0"/>
  <ignoredErrors>
    <ignoredError sqref="B30" emptyCellReference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workbookViewId="0">
      <selection activeCell="C33" sqref="C33"/>
    </sheetView>
  </sheetViews>
  <sheetFormatPr baseColWidth="10" defaultColWidth="10.75" defaultRowHeight="12.75" x14ac:dyDescent="0.2"/>
  <cols>
    <col min="1" max="1" width="13.875" style="7" customWidth="1"/>
    <col min="2" max="6" width="10.75" style="7"/>
    <col min="7" max="8" width="10.75" style="8"/>
    <col min="9" max="16384" width="10.75" style="7"/>
  </cols>
  <sheetData>
    <row r="1" spans="1:6" x14ac:dyDescent="0.2">
      <c r="A1" s="6" t="s">
        <v>19</v>
      </c>
    </row>
    <row r="2" spans="1:6" x14ac:dyDescent="0.2">
      <c r="A2" s="9"/>
      <c r="B2" s="10" t="s">
        <v>48</v>
      </c>
      <c r="C2" s="11" t="s">
        <v>49</v>
      </c>
      <c r="D2" s="9" t="s">
        <v>55</v>
      </c>
      <c r="E2" s="9"/>
      <c r="F2" s="9"/>
    </row>
    <row r="4" spans="1:6" x14ac:dyDescent="0.2">
      <c r="A4" s="7" t="s">
        <v>26</v>
      </c>
      <c r="C4" s="7" t="s">
        <v>38</v>
      </c>
      <c r="E4" s="7" t="s">
        <v>39</v>
      </c>
    </row>
    <row r="5" spans="1:6" x14ac:dyDescent="0.2">
      <c r="A5" s="7" t="s">
        <v>52</v>
      </c>
    </row>
    <row r="6" spans="1:6" x14ac:dyDescent="0.2">
      <c r="A6" s="7" t="s">
        <v>20</v>
      </c>
    </row>
    <row r="7" spans="1:6" x14ac:dyDescent="0.2">
      <c r="A7" s="7" t="s">
        <v>21</v>
      </c>
    </row>
    <row r="8" spans="1:6" x14ac:dyDescent="0.2">
      <c r="A8" s="7" t="s">
        <v>53</v>
      </c>
    </row>
    <row r="9" spans="1:6" x14ac:dyDescent="0.2">
      <c r="A9" s="7" t="s">
        <v>22</v>
      </c>
    </row>
    <row r="10" spans="1:6" x14ac:dyDescent="0.2">
      <c r="A10" s="7" t="s">
        <v>23</v>
      </c>
    </row>
    <row r="11" spans="1:6" x14ac:dyDescent="0.2">
      <c r="A11" s="7" t="s">
        <v>24</v>
      </c>
    </row>
    <row r="12" spans="1:6" x14ac:dyDescent="0.2">
      <c r="A12" s="7" t="s">
        <v>51</v>
      </c>
    </row>
    <row r="14" spans="1:6" x14ac:dyDescent="0.2">
      <c r="A14" s="7" t="s">
        <v>25</v>
      </c>
    </row>
    <row r="16" spans="1:6" x14ac:dyDescent="0.2">
      <c r="A16" s="12" t="s">
        <v>16</v>
      </c>
    </row>
    <row r="17" spans="1:8" x14ac:dyDescent="0.2">
      <c r="A17" s="7" t="s">
        <v>27</v>
      </c>
      <c r="B17" s="13">
        <v>76</v>
      </c>
      <c r="C17" s="7" t="s">
        <v>32</v>
      </c>
    </row>
    <row r="18" spans="1:8" x14ac:dyDescent="0.2">
      <c r="A18" s="7" t="s">
        <v>28</v>
      </c>
      <c r="B18" s="13">
        <f>IF(D18="std", 'bore measurements'!B2,IF(D18=0.01,'bore measurements'!B3,IF(D18=0.02,'bore measurements'!B4,IF(D18=0.03,'bore measurements'!B5,IF(D18=0.04,'bore measurements'!B6,IF(D18=0.05,'bore measurements'!B7,IF(D18=0.06,'bore measurements'!B8,"specify!")))))))</f>
        <v>73.7</v>
      </c>
      <c r="C18" s="7" t="s">
        <v>32</v>
      </c>
      <c r="D18" s="2" t="s">
        <v>6</v>
      </c>
      <c r="E18" s="7" t="s">
        <v>1</v>
      </c>
    </row>
    <row r="19" spans="1:8" x14ac:dyDescent="0.2">
      <c r="A19" s="7" t="s">
        <v>34</v>
      </c>
      <c r="B19" s="13">
        <f>(B17/10)*PI()*(B18/2/10)^2</f>
        <v>324.21899061096576</v>
      </c>
      <c r="C19" s="7" t="s">
        <v>30</v>
      </c>
      <c r="D19" s="14">
        <f>B19*4</f>
        <v>1296.875962443863</v>
      </c>
      <c r="E19" s="7" t="s">
        <v>54</v>
      </c>
    </row>
    <row r="20" spans="1:8" x14ac:dyDescent="0.2">
      <c r="A20" s="7" t="s">
        <v>29</v>
      </c>
      <c r="B20" s="13">
        <f>(D20*2.54)*PI()*(((B18)/10/2)^2)</f>
        <v>3.6841515827846059</v>
      </c>
      <c r="C20" s="7" t="s">
        <v>30</v>
      </c>
      <c r="D20" s="8">
        <v>3.4000000000000002E-2</v>
      </c>
      <c r="E20" s="7" t="s">
        <v>11</v>
      </c>
    </row>
    <row r="21" spans="1:8" x14ac:dyDescent="0.2">
      <c r="A21" s="7" t="s">
        <v>31</v>
      </c>
      <c r="B21" s="13">
        <f>(D21/0.03937/10)*PI()*(B$18/10/2)^2</f>
        <v>2.1671523241779456</v>
      </c>
      <c r="C21" s="7" t="s">
        <v>30</v>
      </c>
      <c r="D21" s="2">
        <v>0.02</v>
      </c>
      <c r="E21" s="7" t="s">
        <v>15</v>
      </c>
    </row>
    <row r="22" spans="1:8" x14ac:dyDescent="0.2">
      <c r="A22" s="7" t="s">
        <v>33</v>
      </c>
      <c r="B22" s="13">
        <f>IF(D22="dish", 6.7,IF(D22="flat",0,"specify!"))</f>
        <v>0</v>
      </c>
      <c r="C22" s="7" t="s">
        <v>30</v>
      </c>
      <c r="D22" s="3" t="s">
        <v>13</v>
      </c>
      <c r="E22" s="7" t="s">
        <v>2</v>
      </c>
    </row>
    <row r="23" spans="1:8" x14ac:dyDescent="0.2">
      <c r="A23" s="7" t="s">
        <v>35</v>
      </c>
      <c r="B23" s="4">
        <v>9</v>
      </c>
      <c r="C23" s="7" t="s">
        <v>56</v>
      </c>
      <c r="D23" s="7" t="s">
        <v>17</v>
      </c>
    </row>
    <row r="24" spans="1:8" x14ac:dyDescent="0.2">
      <c r="A24" s="15" t="s">
        <v>36</v>
      </c>
    </row>
    <row r="25" spans="1:8" x14ac:dyDescent="0.2">
      <c r="A25" s="7" t="s">
        <v>8</v>
      </c>
      <c r="B25" s="13">
        <f>B19/(B23-1)</f>
        <v>40.52737382637072</v>
      </c>
      <c r="C25" s="7" t="s">
        <v>30</v>
      </c>
    </row>
    <row r="26" spans="1:8" x14ac:dyDescent="0.2">
      <c r="A26" s="7" t="s">
        <v>46</v>
      </c>
      <c r="B26" s="13">
        <f>B25-(B20+B21+B22)</f>
        <v>34.676069919408171</v>
      </c>
      <c r="C26" s="7" t="s">
        <v>30</v>
      </c>
      <c r="D26" s="3"/>
      <c r="E26" s="7" t="s">
        <v>18</v>
      </c>
      <c r="H26" s="16"/>
    </row>
    <row r="27" spans="1:8" x14ac:dyDescent="0.2">
      <c r="B27" s="13"/>
      <c r="E27" s="7" t="s">
        <v>10</v>
      </c>
      <c r="H27" s="17"/>
    </row>
    <row r="28" spans="1:8" x14ac:dyDescent="0.2">
      <c r="A28" s="12" t="s">
        <v>57</v>
      </c>
      <c r="B28" s="18"/>
    </row>
    <row r="29" spans="1:8" x14ac:dyDescent="0.2">
      <c r="A29" s="6" t="s">
        <v>40</v>
      </c>
      <c r="B29" s="5">
        <v>11</v>
      </c>
    </row>
    <row r="30" spans="1:8" x14ac:dyDescent="0.2">
      <c r="A30" s="7" t="s">
        <v>46</v>
      </c>
      <c r="B30" s="16">
        <f>IF(D26&gt;0, D26,B26)</f>
        <v>34.676069919408171</v>
      </c>
      <c r="C30" s="7" t="s">
        <v>30</v>
      </c>
      <c r="D30" t="s">
        <v>4</v>
      </c>
      <c r="E30" t="s">
        <v>5</v>
      </c>
    </row>
    <row r="31" spans="1:8" x14ac:dyDescent="0.2">
      <c r="A31" s="7" t="s">
        <v>9</v>
      </c>
      <c r="B31" s="21">
        <f>IF(D31="std", 'bore measurements'!B2,IF(D31=0.01,'bore measurements'!B3,IF(D31=0.02,'bore measurements'!B4,IF(D31=0.03,'bore measurements'!B5,IF(D31=0.04,'bore measurements'!B6,IF(D31=0.05,'bore measurements'!B7,IF(D31=0.06,'bore measurements'!B8,"specify!")))))))</f>
        <v>73.7</v>
      </c>
      <c r="C31" s="7" t="s">
        <v>32</v>
      </c>
      <c r="D31" s="2" t="s">
        <v>62</v>
      </c>
      <c r="E31" s="7" t="s">
        <v>3</v>
      </c>
    </row>
    <row r="32" spans="1:8" x14ac:dyDescent="0.2">
      <c r="A32" s="7" t="s">
        <v>42</v>
      </c>
      <c r="B32" s="13">
        <f>(B17/10)*PI()*(B31/2/10)^2</f>
        <v>324.21899061096576</v>
      </c>
      <c r="C32" s="7" t="s">
        <v>30</v>
      </c>
      <c r="D32" s="14">
        <f>B32*4</f>
        <v>1296.875962443863</v>
      </c>
      <c r="E32" s="7" t="s">
        <v>54</v>
      </c>
    </row>
    <row r="33" spans="1:8" x14ac:dyDescent="0.2">
      <c r="A33" s="26" t="s">
        <v>14</v>
      </c>
      <c r="B33" s="13">
        <f>(D33/0.03937/10)*PI()*(B$18/10/2)^2</f>
        <v>2.1671523241779456</v>
      </c>
      <c r="C33" s="7" t="s">
        <v>30</v>
      </c>
      <c r="D33" s="2">
        <v>0.02</v>
      </c>
      <c r="E33" s="7" t="s">
        <v>15</v>
      </c>
    </row>
    <row r="34" spans="1:8" x14ac:dyDescent="0.2">
      <c r="A34" s="7" t="s">
        <v>33</v>
      </c>
      <c r="B34" s="16">
        <f>IF(D34="dish", 6.7,IF(D34="flat",0,"specify!"))</f>
        <v>0</v>
      </c>
      <c r="C34" s="7" t="s">
        <v>30</v>
      </c>
      <c r="D34" s="4" t="s">
        <v>13</v>
      </c>
      <c r="E34" s="7" t="s">
        <v>0</v>
      </c>
    </row>
    <row r="35" spans="1:8" x14ac:dyDescent="0.2">
      <c r="A35" s="7" t="s">
        <v>41</v>
      </c>
      <c r="B35" s="16">
        <f>B32/(B29-1)</f>
        <v>32.421899061096575</v>
      </c>
      <c r="C35" s="7" t="s">
        <v>30</v>
      </c>
    </row>
    <row r="36" spans="1:8" x14ac:dyDescent="0.2">
      <c r="A36" s="7" t="s">
        <v>43</v>
      </c>
      <c r="B36" s="16">
        <f>B35-B20-B33-B34</f>
        <v>26.570595154134026</v>
      </c>
      <c r="C36" s="7" t="s">
        <v>30</v>
      </c>
    </row>
    <row r="37" spans="1:8" s="6" customFormat="1" x14ac:dyDescent="0.2">
      <c r="A37" s="6" t="s">
        <v>44</v>
      </c>
      <c r="B37" s="19">
        <f>B30-B36</f>
        <v>8.1054747652741455</v>
      </c>
      <c r="C37" s="6" t="s">
        <v>30</v>
      </c>
      <c r="E37" s="7"/>
      <c r="G37" s="20"/>
      <c r="H37" s="20"/>
    </row>
    <row r="38" spans="1:8" hidden="1" x14ac:dyDescent="0.2">
      <c r="A38" s="7" t="s">
        <v>45</v>
      </c>
      <c r="B38" s="16">
        <v>3.5</v>
      </c>
      <c r="C38" s="7" t="s">
        <v>30</v>
      </c>
      <c r="D38" s="7" t="s">
        <v>50</v>
      </c>
    </row>
    <row r="39" spans="1:8" x14ac:dyDescent="0.2">
      <c r="A39" s="7" t="s">
        <v>47</v>
      </c>
      <c r="B39" s="21">
        <f>B37/B38</f>
        <v>2.3158499329354703</v>
      </c>
      <c r="C39" s="7" t="s">
        <v>32</v>
      </c>
    </row>
    <row r="40" spans="1:8" x14ac:dyDescent="0.2">
      <c r="A40" s="6" t="s">
        <v>47</v>
      </c>
      <c r="B40" s="23">
        <f>B39*0.03937</f>
        <v>9.1175011859669475E-2</v>
      </c>
      <c r="C40" s="24" t="s">
        <v>37</v>
      </c>
    </row>
    <row r="41" spans="1:8" x14ac:dyDescent="0.2">
      <c r="B41" s="18"/>
    </row>
    <row r="42" spans="1:8" x14ac:dyDescent="0.2">
      <c r="B42" s="18"/>
    </row>
    <row r="43" spans="1:8" x14ac:dyDescent="0.2">
      <c r="B43" s="22"/>
    </row>
    <row r="44" spans="1:8" x14ac:dyDescent="0.2">
      <c r="B44" s="18"/>
      <c r="D44" s="13"/>
    </row>
    <row r="45" spans="1:8" x14ac:dyDescent="0.2">
      <c r="B45" s="21"/>
    </row>
    <row r="46" spans="1:8" x14ac:dyDescent="0.2">
      <c r="B46" s="18"/>
    </row>
    <row r="47" spans="1:8" x14ac:dyDescent="0.2">
      <c r="B47" s="18"/>
    </row>
    <row r="48" spans="1:8" x14ac:dyDescent="0.2">
      <c r="B48" s="18"/>
    </row>
    <row r="49" spans="2:21" x14ac:dyDescent="0.2">
      <c r="B49" s="18"/>
      <c r="K49" s="13"/>
      <c r="L49" s="13"/>
    </row>
    <row r="50" spans="2:21" x14ac:dyDescent="0.2">
      <c r="J50" s="13"/>
      <c r="K50" s="13"/>
    </row>
    <row r="51" spans="2:21" x14ac:dyDescent="0.2">
      <c r="J51" s="13"/>
      <c r="K51" s="13"/>
    </row>
    <row r="52" spans="2:21" x14ac:dyDescent="0.2">
      <c r="K52" s="13"/>
    </row>
    <row r="61" spans="2:21" x14ac:dyDescent="0.2">
      <c r="B61" s="18"/>
      <c r="C61" s="18"/>
      <c r="D61" s="18"/>
      <c r="E61" s="18"/>
      <c r="F61" s="18"/>
      <c r="U61" s="7">
        <f>2.9425/2</f>
        <v>1.4712499999999999</v>
      </c>
    </row>
    <row r="62" spans="2:21" x14ac:dyDescent="0.2">
      <c r="B62" s="18"/>
      <c r="C62" s="18"/>
      <c r="D62" s="18"/>
      <c r="E62" s="18"/>
      <c r="F62" s="18"/>
    </row>
    <row r="63" spans="2:21" x14ac:dyDescent="0.2">
      <c r="B63" s="18"/>
      <c r="C63" s="18"/>
      <c r="D63" s="18"/>
      <c r="E63" s="18"/>
      <c r="F63" s="18"/>
    </row>
    <row r="64" spans="2:21" x14ac:dyDescent="0.2">
      <c r="B64" s="18"/>
      <c r="C64" s="18"/>
      <c r="D64" s="18"/>
      <c r="E64" s="18"/>
      <c r="F64" s="18"/>
    </row>
    <row r="65" spans="2:6" x14ac:dyDescent="0.2">
      <c r="B65" s="18"/>
      <c r="C65" s="18"/>
      <c r="D65" s="18"/>
      <c r="E65" s="18"/>
      <c r="F65" s="18"/>
    </row>
    <row r="66" spans="2:6" x14ac:dyDescent="0.2">
      <c r="B66" s="18"/>
      <c r="C66" s="18"/>
      <c r="D66" s="18"/>
      <c r="E66" s="18"/>
      <c r="F66" s="18"/>
    </row>
  </sheetData>
  <sheetProtection sheet="1" objects="1" scenarios="1"/>
  <phoneticPr fontId="4"/>
  <pageMargins left="0.78740157499999996" right="0.78740157499999996" top="0.984251969" bottom="0.984251969" header="0.5" footer="0.5"/>
  <pageSetup paperSize="0" scale="42" orientation="landscape" horizontalDpi="4294967292" verticalDpi="4294967292"/>
  <headerFooter alignWithMargins="0"/>
  <ignoredErrors>
    <ignoredError sqref="B30" emptyCellReference="1"/>
  </ignoredError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2" sqref="B2"/>
    </sheetView>
  </sheetViews>
  <sheetFormatPr baseColWidth="10" defaultRowHeight="12.75" x14ac:dyDescent="0.2"/>
  <cols>
    <col min="1" max="1" width="10.75" style="25" customWidth="1"/>
  </cols>
  <sheetData>
    <row r="1" spans="1:2" x14ac:dyDescent="0.2">
      <c r="A1" s="25" t="s">
        <v>60</v>
      </c>
      <c r="B1" t="s">
        <v>61</v>
      </c>
    </row>
    <row r="2" spans="1:2" x14ac:dyDescent="0.2">
      <c r="A2" s="25" t="s">
        <v>59</v>
      </c>
      <c r="B2" s="27">
        <v>73.7</v>
      </c>
    </row>
    <row r="3" spans="1:2" x14ac:dyDescent="0.2">
      <c r="A3" s="25">
        <v>0.01</v>
      </c>
      <c r="B3" s="1">
        <f t="shared" ref="B3:B8" si="0">A3*25.4+B$2</f>
        <v>73.954000000000008</v>
      </c>
    </row>
    <row r="4" spans="1:2" x14ac:dyDescent="0.2">
      <c r="A4" s="25">
        <v>0.02</v>
      </c>
      <c r="B4" s="1">
        <f t="shared" si="0"/>
        <v>74.207999999999998</v>
      </c>
    </row>
    <row r="5" spans="1:2" x14ac:dyDescent="0.2">
      <c r="A5" s="25">
        <v>0.03</v>
      </c>
      <c r="B5" s="1">
        <f t="shared" si="0"/>
        <v>74.462000000000003</v>
      </c>
    </row>
    <row r="6" spans="1:2" x14ac:dyDescent="0.2">
      <c r="A6" s="25">
        <v>0.04</v>
      </c>
      <c r="B6" s="1">
        <f t="shared" si="0"/>
        <v>74.716000000000008</v>
      </c>
    </row>
    <row r="7" spans="1:2" x14ac:dyDescent="0.2">
      <c r="A7" s="25">
        <v>0.05</v>
      </c>
      <c r="B7" s="1">
        <f t="shared" si="0"/>
        <v>74.97</v>
      </c>
    </row>
    <row r="8" spans="1:2" x14ac:dyDescent="0.2">
      <c r="A8" s="25">
        <v>0.06</v>
      </c>
      <c r="B8" s="1">
        <f t="shared" si="0"/>
        <v>75.224000000000004</v>
      </c>
    </row>
  </sheetData>
  <sheetProtection sheet="1" objects="1" scenarios="1"/>
  <pageMargins left="0.78740157499999996" right="0.78740157499999996" top="0.984251969" bottom="0.984251969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1493</vt:lpstr>
      <vt:lpstr>1296</vt:lpstr>
      <vt:lpstr>bore measurements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Geithner Paul</dc:creator>
  <cp:lastModifiedBy>Philippe MOME</cp:lastModifiedBy>
  <cp:lastPrinted>2009-04-04T01:33:17Z</cp:lastPrinted>
  <dcterms:created xsi:type="dcterms:W3CDTF">2007-02-09T23:32:21Z</dcterms:created>
  <dcterms:modified xsi:type="dcterms:W3CDTF">2018-05-25T20:33:16Z</dcterms:modified>
</cp:coreProperties>
</file>